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a_delovni_zvezek"/>
  <bookViews>
    <workbookView xWindow="65521" yWindow="45" windowWidth="25215" windowHeight="14550" activeTab="0"/>
  </bookViews>
  <sheets>
    <sheet name="K01-ZunanjiZid" sheetId="1" r:id="rId1"/>
  </sheets>
  <definedNames>
    <definedName name="_xlnm.Print_Area" localSheetId="0">'K01-ZunanjiZid'!$A$1:$E$33</definedName>
  </definedNames>
  <calcPr fullCalcOnLoad="1"/>
</workbook>
</file>

<file path=xl/comments1.xml><?xml version="1.0" encoding="utf-8"?>
<comments xmlns="http://schemas.openxmlformats.org/spreadsheetml/2006/main">
  <authors>
    <author>Miha Nahtigal</author>
  </authors>
  <commentList>
    <comment ref="D24" authorId="0">
      <text>
        <r>
          <rPr>
            <sz val="9"/>
            <rFont val="Arial"/>
            <family val="2"/>
          </rPr>
          <t>vpišite "DA", če je sloj prilepljen na osnovno konstrukcijo</t>
        </r>
      </text>
    </comment>
  </commentList>
</comments>
</file>

<file path=xl/sharedStrings.xml><?xml version="1.0" encoding="utf-8"?>
<sst xmlns="http://schemas.openxmlformats.org/spreadsheetml/2006/main" count="56" uniqueCount="45">
  <si>
    <t>dB</t>
  </si>
  <si>
    <t>Elaborat zaščite pred hrupom</t>
  </si>
  <si>
    <t>Z A Š Č I T A   P R E D   Z U N A N J I M   H R U P O M</t>
  </si>
  <si>
    <t>m</t>
  </si>
  <si>
    <t>Faktor</t>
  </si>
  <si>
    <t>da</t>
  </si>
  <si>
    <t>1. Opis ločilne konstrukcije:</t>
  </si>
  <si>
    <t>2. Izračun površinske mase:</t>
  </si>
  <si>
    <t>20 mm</t>
  </si>
  <si>
    <t>Mavčno-cementni omet</t>
  </si>
  <si>
    <t>kg/m2</t>
  </si>
  <si>
    <t>3. Izračun zvočne zaščite:</t>
  </si>
  <si>
    <t>4. Izboljšanje zvočne izolativnosti zaradi fasadne obloge:</t>
  </si>
  <si>
    <t>s' -</t>
  </si>
  <si>
    <t>dinamična togost izolacije</t>
  </si>
  <si>
    <t>MN/m3</t>
  </si>
  <si>
    <t>m1 -</t>
  </si>
  <si>
    <t>m2 -</t>
  </si>
  <si>
    <t>površinska masa zaključnega fasadnega sloja</t>
  </si>
  <si>
    <t xml:space="preserve">f0 - </t>
  </si>
  <si>
    <t>resonančna frekvenca</t>
  </si>
  <si>
    <t>Hz</t>
  </si>
  <si>
    <t>Oslabitev po preglednici D.3 SIST EN 12354-1:</t>
  </si>
  <si>
    <t>SKUPNA ZVOČNA IZOLIRNOST KONSTRUKCIJE:</t>
  </si>
  <si>
    <t>C -</t>
  </si>
  <si>
    <t>Ctr -</t>
  </si>
  <si>
    <t>K01 - Opečnata stena zidana</t>
  </si>
  <si>
    <r>
      <t>f</t>
    </r>
    <r>
      <rPr>
        <vertAlign val="subscript"/>
        <sz val="8"/>
        <color indexed="8"/>
        <rFont val="Arial"/>
        <family val="2"/>
      </rPr>
      <t>obloge</t>
    </r>
    <r>
      <rPr>
        <sz val="8"/>
        <color indexed="8"/>
        <rFont val="Arial"/>
        <family val="2"/>
      </rPr>
      <t xml:space="preserve"> [Hz]</t>
    </r>
  </si>
  <si>
    <r>
      <t>ΔR</t>
    </r>
    <r>
      <rPr>
        <vertAlign val="subscript"/>
        <sz val="8"/>
        <color indexed="8"/>
        <rFont val="Arial"/>
        <family val="2"/>
      </rPr>
      <t>w</t>
    </r>
  </si>
  <si>
    <t>Ctr=</t>
  </si>
  <si>
    <t>pritrjen sloj :</t>
  </si>
  <si>
    <t>skupna površinska masa izolacije in zaključnega sloja</t>
  </si>
  <si>
    <t>m'1 -</t>
  </si>
  <si>
    <t>m'2 -</t>
  </si>
  <si>
    <t>površinska masa izolacije</t>
  </si>
  <si>
    <t>d -</t>
  </si>
  <si>
    <t>debelina vmesnega prostora</t>
  </si>
  <si>
    <t>skupna površinska masa</t>
  </si>
  <si>
    <t>Zvočna zaščita osnovnega elementa =</t>
  </si>
  <si>
    <t>Rw -</t>
  </si>
  <si>
    <t>5. Rezultat</t>
  </si>
  <si>
    <t>Izračun zvočne izolativnosti zidu po SIST EN 12354-1</t>
  </si>
  <si>
    <t>Opečna stena zidana z MB29;
zid = 205kg/m2, malta = 80kg/m2</t>
  </si>
  <si>
    <t>290 mm</t>
  </si>
  <si>
    <t>Pomožni izračun oslabitve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</si>
</sst>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424]d\.\ mmmm\ yyyy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b/>
      <sz val="12"/>
      <color indexed="61"/>
      <name val="Courier New"/>
      <family val="3"/>
    </font>
    <font>
      <b/>
      <sz val="14"/>
      <color indexed="8"/>
      <name val="Arial"/>
      <family val="2"/>
    </font>
    <font>
      <sz val="16"/>
      <name val="Arial"/>
      <family val="2"/>
    </font>
    <font>
      <b/>
      <sz val="10"/>
      <color indexed="12"/>
      <name val="Courier New"/>
      <family val="3"/>
    </font>
    <font>
      <sz val="9"/>
      <name val="Arial"/>
      <family val="2"/>
    </font>
    <font>
      <b/>
      <sz val="16"/>
      <name val="Arial"/>
      <family val="2"/>
    </font>
    <font>
      <sz val="8"/>
      <color indexed="8"/>
      <name val="Arial"/>
      <family val="2"/>
    </font>
    <font>
      <vertAlign val="sub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12"/>
      </left>
      <right style="hair">
        <color indexed="12"/>
      </right>
      <top/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2" fontId="3" fillId="0" borderId="2">
      <alignment horizontal="left" vertical="center"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6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1" fillId="0" borderId="7" applyNumberFormat="0" applyFill="0" applyAlignment="0" applyProtection="0"/>
    <xf numFmtId="0" fontId="42" fillId="30" borderId="8" applyNumberFormat="0" applyAlignment="0" applyProtection="0"/>
    <xf numFmtId="0" fontId="43" fillId="21" borderId="9" applyNumberFormat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9" applyNumberFormat="0" applyAlignment="0" applyProtection="0"/>
    <xf numFmtId="1" fontId="6" fillId="33" borderId="10" applyNumberFormat="0" applyAlignment="0">
      <protection locked="0"/>
    </xf>
    <xf numFmtId="0" fontId="46" fillId="0" borderId="11" applyNumberFormat="0" applyFill="0" applyAlignment="0" applyProtection="0"/>
  </cellStyleXfs>
  <cellXfs count="35">
    <xf numFmtId="0" fontId="0" fillId="0" borderId="0" xfId="0" applyFont="1" applyAlignment="1">
      <alignment/>
    </xf>
    <xf numFmtId="0" fontId="47" fillId="0" borderId="0" xfId="0" applyFont="1" applyAlignment="1">
      <alignment/>
    </xf>
    <xf numFmtId="1" fontId="4" fillId="34" borderId="1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Continuous"/>
      <protection/>
    </xf>
    <xf numFmtId="0" fontId="6" fillId="33" borderId="10" xfId="62" applyNumberFormat="1" applyAlignment="1">
      <alignment horizontal="center"/>
      <protection locked="0"/>
    </xf>
    <xf numFmtId="0" fontId="47" fillId="0" borderId="0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8" fillId="0" borderId="0" xfId="0" applyFont="1" applyFill="1" applyBorder="1" applyAlignment="1" applyProtection="1">
      <alignment horizontal="centerContinuous" vertical="top"/>
      <protection/>
    </xf>
    <xf numFmtId="0" fontId="47" fillId="0" borderId="0" xfId="0" applyFont="1" applyAlignment="1">
      <alignment horizontal="centerContinuous"/>
    </xf>
    <xf numFmtId="0" fontId="47" fillId="0" borderId="15" xfId="0" applyFont="1" applyBorder="1" applyAlignment="1">
      <alignment horizontal="center"/>
    </xf>
    <xf numFmtId="0" fontId="47" fillId="0" borderId="16" xfId="0" applyFont="1" applyBorder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 vertical="top"/>
    </xf>
    <xf numFmtId="0" fontId="47" fillId="0" borderId="0" xfId="0" applyFont="1" applyAlignment="1">
      <alignment wrapText="1"/>
    </xf>
    <xf numFmtId="0" fontId="47" fillId="0" borderId="0" xfId="0" applyFont="1" applyAlignment="1">
      <alignment horizontal="right"/>
    </xf>
    <xf numFmtId="1" fontId="49" fillId="0" borderId="0" xfId="0" applyNumberFormat="1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0" borderId="18" xfId="0" applyFont="1" applyBorder="1" applyAlignment="1" applyProtection="1">
      <alignment horizontal="center"/>
      <protection/>
    </xf>
    <xf numFmtId="0" fontId="49" fillId="0" borderId="15" xfId="0" applyFont="1" applyBorder="1" applyAlignment="1">
      <alignment horizontal="center"/>
    </xf>
    <xf numFmtId="1" fontId="49" fillId="0" borderId="13" xfId="0" applyNumberFormat="1" applyFont="1" applyBorder="1" applyAlignment="1">
      <alignment horizontal="center"/>
    </xf>
    <xf numFmtId="0" fontId="49" fillId="0" borderId="19" xfId="0" applyFont="1" applyBorder="1" applyAlignment="1">
      <alignment horizontal="right"/>
    </xf>
    <xf numFmtId="164" fontId="49" fillId="0" borderId="20" xfId="0" applyNumberFormat="1" applyFont="1" applyBorder="1" applyAlignment="1">
      <alignment horizontal="center"/>
    </xf>
    <xf numFmtId="0" fontId="49" fillId="0" borderId="21" xfId="0" applyFont="1" applyBorder="1" applyAlignment="1">
      <alignment/>
    </xf>
    <xf numFmtId="0" fontId="6" fillId="33" borderId="10" xfId="62" applyNumberFormat="1" applyAlignment="1">
      <alignment/>
      <protection locked="0"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left"/>
    </xf>
    <xf numFmtId="1" fontId="48" fillId="0" borderId="0" xfId="0" applyNumberFormat="1" applyFont="1" applyAlignment="1">
      <alignment/>
    </xf>
    <xf numFmtId="0" fontId="50" fillId="0" borderId="0" xfId="0" applyFont="1" applyAlignment="1">
      <alignment/>
    </xf>
    <xf numFmtId="0" fontId="49" fillId="0" borderId="22" xfId="0" applyFont="1" applyBorder="1" applyAlignment="1">
      <alignment/>
    </xf>
    <xf numFmtId="0" fontId="47" fillId="0" borderId="23" xfId="0" applyFont="1" applyBorder="1" applyAlignment="1">
      <alignment/>
    </xf>
    <xf numFmtId="0" fontId="6" fillId="33" borderId="10" xfId="62" applyNumberFormat="1" applyAlignment="1">
      <alignment horizontal="right"/>
      <protection locked="0"/>
    </xf>
    <xf numFmtId="1" fontId="47" fillId="0" borderId="0" xfId="0" applyNumberFormat="1" applyFont="1" applyAlignment="1">
      <alignment horizontal="right"/>
    </xf>
    <xf numFmtId="1" fontId="48" fillId="0" borderId="0" xfId="0" applyNumberFormat="1" applyFont="1" applyAlignment="1">
      <alignment horizontal="right"/>
    </xf>
    <xf numFmtId="0" fontId="51" fillId="0" borderId="0" xfId="0" applyFont="1" applyAlignment="1">
      <alignment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Izračunano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Standard_HWB Kurzverf. Formular (2)" xfId="56"/>
    <cellStyle name="Currency" xfId="57"/>
    <cellStyle name="Currency [0]" xfId="58"/>
    <cellStyle name="Comma" xfId="59"/>
    <cellStyle name="Comma [0]" xfId="60"/>
    <cellStyle name="Vnos" xfId="61"/>
    <cellStyle name="Vnosno polje" xfId="62"/>
    <cellStyle name="Vsot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7</xdr:row>
      <xdr:rowOff>114300</xdr:rowOff>
    </xdr:from>
    <xdr:to>
      <xdr:col>2</xdr:col>
      <xdr:colOff>3200400</xdr:colOff>
      <xdr:row>7</xdr:row>
      <xdr:rowOff>1095375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543050"/>
          <a:ext cx="37052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showGridLines="0" tabSelected="1" zoomScalePageLayoutView="0" workbookViewId="0" topLeftCell="A1">
      <selection activeCell="D12" sqref="D12"/>
    </sheetView>
  </sheetViews>
  <sheetFormatPr defaultColWidth="9.140625" defaultRowHeight="15"/>
  <cols>
    <col min="1" max="1" width="5.00390625" style="1" customWidth="1"/>
    <col min="2" max="2" width="8.00390625" style="1" customWidth="1"/>
    <col min="3" max="3" width="55.57421875" style="1" customWidth="1"/>
    <col min="4" max="4" width="5.57421875" style="1" customWidth="1"/>
    <col min="5" max="16384" width="9.140625" style="1" customWidth="1"/>
  </cols>
  <sheetData>
    <row r="1" spans="1:5" ht="20.25">
      <c r="A1" s="3" t="s">
        <v>1</v>
      </c>
      <c r="B1" s="9"/>
      <c r="C1" s="9"/>
      <c r="D1" s="9"/>
      <c r="E1" s="9"/>
    </row>
    <row r="2" spans="1:5" ht="20.25">
      <c r="A2" s="8" t="s">
        <v>2</v>
      </c>
      <c r="B2" s="9"/>
      <c r="C2" s="9"/>
      <c r="D2" s="9"/>
      <c r="E2" s="9"/>
    </row>
    <row r="3" ht="14.25"/>
    <row r="4" ht="14.25">
      <c r="A4" s="1" t="s">
        <v>41</v>
      </c>
    </row>
    <row r="5" ht="14.25"/>
    <row r="6" ht="15">
      <c r="A6" s="12" t="s">
        <v>6</v>
      </c>
    </row>
    <row r="7" ht="14.25">
      <c r="B7" s="1" t="s">
        <v>26</v>
      </c>
    </row>
    <row r="8" ht="94.5" customHeight="1"/>
    <row r="9" ht="15">
      <c r="A9" s="12" t="s">
        <v>7</v>
      </c>
    </row>
    <row r="10" spans="2:5" ht="14.25">
      <c r="B10" s="1" t="s">
        <v>8</v>
      </c>
      <c r="C10" s="1" t="s">
        <v>9</v>
      </c>
      <c r="D10" s="1">
        <v>30</v>
      </c>
      <c r="E10" s="1" t="s">
        <v>10</v>
      </c>
    </row>
    <row r="11" spans="2:5" ht="28.5">
      <c r="B11" s="13" t="s">
        <v>43</v>
      </c>
      <c r="C11" s="14" t="s">
        <v>42</v>
      </c>
      <c r="D11" s="1">
        <f>205+80</f>
        <v>285</v>
      </c>
      <c r="E11" s="1" t="s">
        <v>10</v>
      </c>
    </row>
    <row r="12" spans="2:5" ht="15">
      <c r="B12" s="25" t="s">
        <v>32</v>
      </c>
      <c r="C12" s="26" t="s">
        <v>37</v>
      </c>
      <c r="D12" s="24">
        <f>D11+D10</f>
        <v>315</v>
      </c>
      <c r="E12" s="12" t="s">
        <v>10</v>
      </c>
    </row>
    <row r="13" ht="15">
      <c r="B13" s="34">
        <f>IF(D12&gt;150,"","Račun je uporaben samo za osnovne konstrukcije s površinsko maso &gt; 150 kg/m2")</f>
      </c>
    </row>
    <row r="14" ht="15">
      <c r="A14" s="12" t="s">
        <v>11</v>
      </c>
    </row>
    <row r="15" spans="3:5" ht="15">
      <c r="C15" s="15" t="s">
        <v>38</v>
      </c>
      <c r="D15" s="27">
        <f>IF(D26="","",37.5*LOG(D12)-42)</f>
        <v>51.68664576711002</v>
      </c>
      <c r="E15" s="12" t="s">
        <v>0</v>
      </c>
    </row>
    <row r="16" ht="15">
      <c r="B16" s="34">
        <f>IF(D15="","",IF(D15&lt;20,"Račun je uporaben samo za konstrukcije z 20 dB &lt; Rw &lt; 60 dB.",IF(D15&gt;60,"Račun je uporaben samo za osnovne konstrukcije z 20 dB &lt; Rw &lt; 60 dB.","")))</f>
      </c>
    </row>
    <row r="17" spans="1:9" ht="15">
      <c r="A17" s="12" t="s">
        <v>12</v>
      </c>
      <c r="G17" s="29" t="s">
        <v>44</v>
      </c>
      <c r="H17" s="11"/>
      <c r="I17" s="30"/>
    </row>
    <row r="18" spans="2:9" ht="14.25">
      <c r="B18" s="15" t="s">
        <v>13</v>
      </c>
      <c r="C18" s="1" t="s">
        <v>14</v>
      </c>
      <c r="D18" s="24">
        <v>4</v>
      </c>
      <c r="E18" s="1" t="s">
        <v>15</v>
      </c>
      <c r="G18" s="17" t="s">
        <v>27</v>
      </c>
      <c r="H18" s="18" t="s">
        <v>28</v>
      </c>
      <c r="I18" s="7"/>
    </row>
    <row r="19" spans="2:9" ht="14.25">
      <c r="B19" s="15" t="s">
        <v>16</v>
      </c>
      <c r="C19" s="1" t="s">
        <v>34</v>
      </c>
      <c r="D19" s="24">
        <v>2.4</v>
      </c>
      <c r="E19" s="1" t="s">
        <v>10</v>
      </c>
      <c r="G19" s="19">
        <v>80</v>
      </c>
      <c r="H19" s="16">
        <f>IF(D15="","",IF(35-D15/2&gt;0,35-D15/2,0))</f>
        <v>9.156677116444989</v>
      </c>
      <c r="I19" s="20">
        <f>IF($D$26="","",G19-$D$26)</f>
        <v>-25.918347732373363</v>
      </c>
    </row>
    <row r="20" spans="2:9" ht="14.25">
      <c r="B20" s="15" t="s">
        <v>17</v>
      </c>
      <c r="C20" s="1" t="s">
        <v>18</v>
      </c>
      <c r="D20" s="24">
        <v>7</v>
      </c>
      <c r="E20" s="1" t="s">
        <v>10</v>
      </c>
      <c r="G20" s="19">
        <v>100</v>
      </c>
      <c r="H20" s="16">
        <f>IF(D15="","",IF(32-D15/2&gt;0,32-D15/2,0))</f>
        <v>6.156677116444989</v>
      </c>
      <c r="I20" s="20">
        <f aca="true" t="shared" si="0" ref="I20:I29">IF($D$26="","",G20-$D$26)</f>
        <v>-5.918347732373363</v>
      </c>
    </row>
    <row r="21" spans="2:9" ht="15">
      <c r="B21" s="25" t="s">
        <v>33</v>
      </c>
      <c r="C21" s="26" t="s">
        <v>31</v>
      </c>
      <c r="D21" s="12">
        <f>D20+D19</f>
        <v>9.4</v>
      </c>
      <c r="E21" s="12" t="s">
        <v>10</v>
      </c>
      <c r="G21" s="19">
        <v>125</v>
      </c>
      <c r="H21" s="16">
        <f>IF(D15="","",IF(30-D15/2&gt;0,30-D15/2,0))</f>
        <v>4.156677116444989</v>
      </c>
      <c r="I21" s="20">
        <f t="shared" si="0"/>
        <v>19.081652267626637</v>
      </c>
    </row>
    <row r="22" spans="7:9" ht="14.25">
      <c r="G22" s="19">
        <v>160</v>
      </c>
      <c r="H22" s="16">
        <f>IF(D15="","",IF(28-D15/2&gt;0,28-D15/2,0))</f>
        <v>2.156677116444989</v>
      </c>
      <c r="I22" s="20">
        <f t="shared" si="0"/>
        <v>54.08165226762664</v>
      </c>
    </row>
    <row r="23" spans="2:9" ht="14.25">
      <c r="B23" s="15" t="s">
        <v>35</v>
      </c>
      <c r="C23" s="1" t="s">
        <v>36</v>
      </c>
      <c r="D23" s="31"/>
      <c r="E23" s="1" t="s">
        <v>3</v>
      </c>
      <c r="G23" s="19">
        <v>200</v>
      </c>
      <c r="H23" s="16">
        <v>-1</v>
      </c>
      <c r="I23" s="20">
        <f t="shared" si="0"/>
        <v>94.08165226762664</v>
      </c>
    </row>
    <row r="24" spans="3:9" ht="14.25">
      <c r="C24" s="15" t="s">
        <v>30</v>
      </c>
      <c r="D24" s="4" t="s">
        <v>5</v>
      </c>
      <c r="G24" s="19">
        <v>250</v>
      </c>
      <c r="H24" s="16">
        <v>-3</v>
      </c>
      <c r="I24" s="20">
        <f t="shared" si="0"/>
        <v>144.08165226762662</v>
      </c>
    </row>
    <row r="25" spans="7:9" ht="14.25">
      <c r="G25" s="19">
        <v>315</v>
      </c>
      <c r="H25" s="16">
        <v>-5</v>
      </c>
      <c r="I25" s="20">
        <f t="shared" si="0"/>
        <v>209.08165226762662</v>
      </c>
    </row>
    <row r="26" spans="2:9" ht="15">
      <c r="B26" s="25" t="s">
        <v>19</v>
      </c>
      <c r="C26" s="12" t="s">
        <v>20</v>
      </c>
      <c r="D26" s="33">
        <f>IF(D12="","",IF(D21="","",IF(D24="DA",160*SQRT(D18*(1/D12+1/D21)),IF(D23="","",160*SQRT(0.111/D23*(1/D12+1/D21))))))</f>
        <v>105.91834773237336</v>
      </c>
      <c r="E26" s="12" t="s">
        <v>21</v>
      </c>
      <c r="G26" s="19">
        <v>400</v>
      </c>
      <c r="H26" s="16">
        <v>-7</v>
      </c>
      <c r="I26" s="20">
        <f t="shared" si="0"/>
        <v>294.0816522676266</v>
      </c>
    </row>
    <row r="27" spans="7:9" ht="14.25">
      <c r="G27" s="19">
        <v>500</v>
      </c>
      <c r="H27" s="16">
        <v>-9</v>
      </c>
      <c r="I27" s="20">
        <f t="shared" si="0"/>
        <v>394.0816522676266</v>
      </c>
    </row>
    <row r="28" spans="3:9" ht="14.25">
      <c r="C28" s="15" t="s">
        <v>22</v>
      </c>
      <c r="D28" s="32">
        <f>IF(D26="","",INDEX(H19:H29,MATCH(MIN(INDEX(ABS(I19:I29),0,1)),INDEX(ABS(I19:I29),0,1),0)))</f>
        <v>6.156677116444989</v>
      </c>
      <c r="E28" s="1" t="s">
        <v>0</v>
      </c>
      <c r="G28" s="19">
        <v>630</v>
      </c>
      <c r="H28" s="16">
        <v>-10</v>
      </c>
      <c r="I28" s="20">
        <f t="shared" si="0"/>
        <v>524.0816522676266</v>
      </c>
    </row>
    <row r="29" spans="7:9" ht="14.25">
      <c r="G29" s="19">
        <v>1600</v>
      </c>
      <c r="H29" s="16">
        <v>-5</v>
      </c>
      <c r="I29" s="20">
        <f t="shared" si="0"/>
        <v>1494.0816522676266</v>
      </c>
    </row>
    <row r="30" spans="1:9" ht="15.75" thickBot="1">
      <c r="A30" s="12" t="s">
        <v>40</v>
      </c>
      <c r="G30" s="10"/>
      <c r="H30" s="5"/>
      <c r="I30" s="6"/>
    </row>
    <row r="31" spans="2:9" ht="19.5" thickBot="1" thickTop="1">
      <c r="B31" s="15" t="s">
        <v>39</v>
      </c>
      <c r="C31" s="28" t="s">
        <v>23</v>
      </c>
      <c r="D31" s="2">
        <f>IF(D15="","",D15+D28)</f>
        <v>57.84332288355501</v>
      </c>
      <c r="E31" s="12" t="s">
        <v>0</v>
      </c>
      <c r="G31" s="21" t="s">
        <v>29</v>
      </c>
      <c r="H31" s="22">
        <f>16-9*LOG(D12)</f>
        <v>-6.484794984106404</v>
      </c>
      <c r="I31" s="23" t="s">
        <v>0</v>
      </c>
    </row>
    <row r="32" spans="2:5" ht="19.5" thickBot="1" thickTop="1">
      <c r="B32" s="15" t="s">
        <v>24</v>
      </c>
      <c r="C32" s="1" t="s">
        <v>4</v>
      </c>
      <c r="D32" s="2">
        <f>IF(D15="","",IF(D12&gt;350,-2,-1))</f>
        <v>-1</v>
      </c>
      <c r="E32" s="1" t="s">
        <v>0</v>
      </c>
    </row>
    <row r="33" spans="2:5" ht="19.5" thickBot="1" thickTop="1">
      <c r="B33" s="15" t="s">
        <v>25</v>
      </c>
      <c r="C33" s="1" t="s">
        <v>4</v>
      </c>
      <c r="D33" s="2">
        <f>H31</f>
        <v>-6.484794984106404</v>
      </c>
      <c r="E33" s="1" t="s">
        <v>0</v>
      </c>
    </row>
    <row r="34" ht="15" thickTop="1"/>
  </sheetData>
  <sheetProtection/>
  <printOptions/>
  <pageMargins left="0.7" right="0.7" top="0.75" bottom="0.75" header="0.3" footer="0.3"/>
  <pageSetup horizontalDpi="600" verticalDpi="600" orientation="portrait" paperSize="9" r:id="rId4"/>
  <ignoredErrors>
    <ignoredError sqref="D12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 Nahtigal</dc:creator>
  <cp:keywords/>
  <dc:description/>
  <cp:lastModifiedBy>Miha Nahtigal</cp:lastModifiedBy>
  <cp:lastPrinted>2013-03-24T07:57:36Z</cp:lastPrinted>
  <dcterms:created xsi:type="dcterms:W3CDTF">2012-12-04T11:16:36Z</dcterms:created>
  <dcterms:modified xsi:type="dcterms:W3CDTF">2013-03-24T07:58:06Z</dcterms:modified>
  <cp:category/>
  <cp:version/>
  <cp:contentType/>
  <cp:contentStatus/>
</cp:coreProperties>
</file>